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erikb\Box\Studio Co+Hab\Business Operations\Marketing &amp; Presentations\211116 FIC Coho 101\4- Getting Started\"/>
    </mc:Choice>
  </mc:AlternateContent>
  <xr:revisionPtr revIDLastSave="0" documentId="13_ncr:1_{FFC037FE-4A56-4CEF-9E5C-19AD5D5C46BD}" xr6:coauthVersionLast="46" xr6:coauthVersionMax="46" xr10:uidLastSave="{00000000-0000-0000-0000-000000000000}"/>
  <bookViews>
    <workbookView xWindow="-96" yWindow="-96" windowWidth="23232" windowHeight="12552" activeTab="2" xr2:uid="{FA901291-4E42-4292-BC32-39EDD7879A87}"/>
  </bookViews>
  <sheets>
    <sheet name="Cover" sheetId="1" r:id="rId1"/>
    <sheet name="Pro Forma 1" sheetId="4" r:id="rId2"/>
    <sheet name="Pro Forma 2" sheetId="5"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6" i="5" l="1"/>
  <c r="A35" i="5"/>
  <c r="A34" i="5"/>
  <c r="A33" i="5"/>
  <c r="A32" i="5"/>
  <c r="B22" i="5"/>
  <c r="B21" i="5"/>
  <c r="B17" i="5"/>
  <c r="B16" i="5"/>
  <c r="B33" i="5" s="1"/>
  <c r="M12" i="5"/>
  <c r="B12" i="5"/>
  <c r="M9" i="5"/>
  <c r="M8" i="5"/>
  <c r="M7" i="5"/>
  <c r="M6" i="5"/>
  <c r="M5" i="5"/>
  <c r="M4" i="5"/>
  <c r="B12" i="4"/>
  <c r="B32" i="4" s="1"/>
  <c r="M5" i="4"/>
  <c r="M6" i="4"/>
  <c r="M7" i="4"/>
  <c r="M8" i="4"/>
  <c r="M9" i="4"/>
  <c r="M12" i="4"/>
  <c r="M4" i="4"/>
  <c r="A36" i="4"/>
  <c r="A35" i="4"/>
  <c r="A34" i="4"/>
  <c r="A33" i="4"/>
  <c r="A32" i="4"/>
  <c r="B22" i="4"/>
  <c r="B21" i="4"/>
  <c r="B17" i="4"/>
  <c r="B16" i="4"/>
  <c r="B23" i="5" l="1"/>
  <c r="B32" i="5"/>
  <c r="B20" i="5"/>
  <c r="B20" i="4"/>
  <c r="B33" i="4"/>
  <c r="B23" i="4"/>
  <c r="B34" i="5" l="1"/>
  <c r="B25" i="5"/>
  <c r="B34" i="4"/>
  <c r="B25" i="4"/>
  <c r="B35" i="4" s="1"/>
  <c r="B27" i="5" l="1"/>
  <c r="B35" i="5"/>
  <c r="B27" i="4"/>
  <c r="B36" i="5" l="1"/>
  <c r="B29" i="5"/>
  <c r="B29" i="4"/>
  <c r="C10" i="4" s="1" a="1"/>
  <c r="C10" i="4" s="1"/>
  <c r="B36" i="4"/>
  <c r="C19" i="5" l="1" a="1"/>
  <c r="C19" i="5" s="1"/>
  <c r="B4" i="5"/>
  <c r="B5" i="5" s="1"/>
  <c r="C10" i="5" a="1"/>
  <c r="C10" i="5" s="1"/>
  <c r="C14" i="5" a="1"/>
  <c r="C14" i="5" s="1"/>
  <c r="C25" i="5"/>
  <c r="C27" i="5"/>
  <c r="C14" i="4" a="1"/>
  <c r="C14" i="4" s="1"/>
  <c r="C19" i="4" a="1"/>
  <c r="C19" i="4" s="1"/>
  <c r="B4" i="4"/>
  <c r="B5" i="4" s="1"/>
  <c r="C25" i="4"/>
  <c r="C27" i="4"/>
  <c r="C5" i="5" l="1"/>
  <c r="B6" i="5"/>
  <c r="C6" i="5" s="1"/>
  <c r="B6" i="4"/>
  <c r="C6" i="4" s="1"/>
  <c r="C5" i="4"/>
  <c r="C4" i="5" l="1"/>
  <c r="C4" i="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<sst xmlns="http://schemas.openxmlformats.org/spreadsheetml/2006/main" count="102" uniqueCount="50">
  <si>
    <t>SAMPLE PRO FORMAS</t>
  </si>
  <si>
    <t>December 7th, 2021</t>
  </si>
  <si>
    <t>A pro forma analysis can help guide your decision whether or not to invest in a property by projecting how the project will perform financially. These sample pro formas are intended to help you understand the financial dynamics of cohousing projects.</t>
  </si>
  <si>
    <t>Any model is only as good as the assumptions that are used to create it. The assumptions in these pro formas are generalized. Before purchasing property for your project we recommend consulting with experts, such as a cohousing development consultant, cohousing architect, civil engineer, soils engineer, environmentlal engineer... to help determine realistic assumptions and manage risks. If you already own property, we recommend using a similar set of consultants to structure your budget before embarking on design.</t>
  </si>
  <si>
    <t>Most cells are locked to preserve the integrity of the calculation formulas. Input cells are highlighted purple.</t>
  </si>
  <si>
    <t>REVENUE</t>
  </si>
  <si>
    <t>Home Sales</t>
  </si>
  <si>
    <t>COSTS</t>
  </si>
  <si>
    <t>Land Costs</t>
  </si>
  <si>
    <t>Purchase Price</t>
  </si>
  <si>
    <t>Carrying Costs</t>
  </si>
  <si>
    <t>Construction Costs</t>
  </si>
  <si>
    <t>Site work</t>
  </si>
  <si>
    <t>Individual Dwellings</t>
  </si>
  <si>
    <t>Common Facilities</t>
  </si>
  <si>
    <t>Soft Costs</t>
  </si>
  <si>
    <t>Consultants</t>
  </si>
  <si>
    <t>Permits and Fees</t>
  </si>
  <si>
    <t>Marketing</t>
  </si>
  <si>
    <t>Interest (Investor, Construction Loan)</t>
  </si>
  <si>
    <t>Profit &amp; Distributable Cash</t>
  </si>
  <si>
    <t>INPUT VARIABLES</t>
  </si>
  <si>
    <t>Interst Rate</t>
  </si>
  <si>
    <t>Term (years)</t>
  </si>
  <si>
    <t>Number of Dwellings</t>
  </si>
  <si>
    <t>Construction Cost ($/sf)</t>
  </si>
  <si>
    <t>Average Dwelling Size (sf)</t>
  </si>
  <si>
    <t>Size (sf)</t>
  </si>
  <si>
    <t>Percentage of Construction Cost</t>
  </si>
  <si>
    <t>Cost per Dwelling</t>
  </si>
  <si>
    <t>Total</t>
  </si>
  <si>
    <t>Contingency</t>
  </si>
  <si>
    <t>Percentage of Development Cost</t>
  </si>
  <si>
    <t>Percentage of Total Project Cost</t>
  </si>
  <si>
    <t>Project Costs</t>
  </si>
  <si>
    <t>HIGHER END HEIGHTS COHOUSING</t>
  </si>
  <si>
    <t>For simplicity the revenue side has excluded garages, carports, and upgrade options which are typically sold at cost plus overhead to those who want to buy them.</t>
  </si>
  <si>
    <t>origianl</t>
  </si>
  <si>
    <t>lower land</t>
  </si>
  <si>
    <t>cheaper construction</t>
  </si>
  <si>
    <t>Cutting subsidy</t>
  </si>
  <si>
    <t>Number Subsidized Homes (Internal)</t>
  </si>
  <si>
    <t>Subsidy Amount</t>
  </si>
  <si>
    <t>Average Market Rate Home Price</t>
  </si>
  <si>
    <t>Average Subsidized Home Price</t>
  </si>
  <si>
    <t>More homes</t>
  </si>
  <si>
    <t>Smaller common house</t>
  </si>
  <si>
    <t>Smaller homes+1000SF CH</t>
  </si>
  <si>
    <t>Cheaper, smaller, more, no subsidy</t>
  </si>
  <si>
    <t>AFFORDABLE ACRES COHOUSING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</si>
</sst>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_(&quot;$&quot;* #,##0_);_(&quot;$&quot;* \(#,##0\);_(&quot;$&quot;* &quot;-&quot;??_);_(@_)"/>
    <numFmt numFmtId="165" formatCode="0.0%"/>
    <numFmt numFmtId="166" formatCode="&quot;$&quot;#,##0"/>
    <numFmt numFmtId="167" formatCode="_(&quot;$&quot;* #,##0.0_);_(&quot;$&quot;* \(#,##0.0\);_(&quot;$&quot;* &quot;-&quot;??_);_(@_)"/>
    <numFmt numFmtId="168" formatCode="_(&quot;$&quot;* #,##0_);_(&quot;$&quot;* \(#,##0\);_(&quot;$&quot;* &quot;-&quot;?_);_(@_)"/>
  </numFmts>
  <fonts count="12" x14ac:knownFonts="1">
    <font>
      <sz val="11"/>
      <color theme="1"/>
      <name val="Calibri"/>
      <family val="2"/>
      <scheme val="minor"/>
    </font>
    <font>
      <sz val="11"/>
      <color theme="1"/>
      <name val="Calibri"/>
      <family val="2"/>
      <scheme val="minor"/>
    </font>
    <font>
      <sz val="11"/>
      <color theme="1"/>
      <name val="Calibri Light"/>
      <family val="2"/>
      <scheme val="major"/>
    </font>
    <font>
      <b/>
      <sz val="11"/>
      <color theme="1"/>
      <name val="Calibri Light"/>
      <family val="2"/>
      <scheme val="major"/>
    </font>
    <font>
      <sz val="14"/>
      <color theme="0"/>
      <name val="Century Gothic"/>
      <family val="2"/>
    </font>
    <font>
      <sz val="11"/>
      <color theme="1"/>
      <name val="Century Gothic"/>
      <family val="2"/>
    </font>
    <font>
      <sz val="11"/>
      <color rgb="FF3A3A3C"/>
      <name val="Calibri Light"/>
      <family val="2"/>
      <scheme val="major"/>
    </font>
    <font>
      <b/>
      <sz val="14"/>
      <color theme="1"/>
      <name val="Century Gothic"/>
      <family val="2"/>
    </font>
    <font>
      <b/>
      <sz val="11"/>
      <color theme="0"/>
      <name val="Calibri"/>
      <family val="2"/>
      <scheme val="minor"/>
    </font>
    <font>
      <sz val="11"/>
      <color theme="0"/>
      <name val="Calibri"/>
      <family val="2"/>
      <scheme val="minor"/>
    </font>
    <font>
      <sz val="11"/>
      <name val="Century Gothic"/>
      <family val="2"/>
    </font>
    <font>
      <b/>
      <sz val="11"/>
      <name val="Century Gothic"/>
      <family val="2"/>
    </font>
  </fonts>
  <fills count="6">
    <fill>
      <patternFill patternType="none"/>
    </fill>
    <fill>
      <patternFill patternType="gray125"/>
    </fill>
    <fill>
      <patternFill patternType="solid">
        <fgColor rgb="FF6D6382"/>
        <bgColor indexed="64"/>
      </patternFill>
    </fill>
    <fill>
      <patternFill patternType="solid">
        <fgColor theme="2"/>
        <bgColor indexed="64"/>
      </patternFill>
    </fill>
    <fill>
      <patternFill patternType="solid">
        <fgColor rgb="FFB0A9BF"/>
        <bgColor indexed="64"/>
      </patternFill>
    </fill>
    <fill>
      <patternFill patternType="solid">
        <fgColor theme="6"/>
        <bgColor indexed="64"/>
      </patternFill>
    </fill>
  </fills>
  <borders count="17">
    <border>
      <left/>
      <right/>
      <top/>
      <bottom/>
      <diagonal/>
    </border>
    <border>
      <left style="thin">
        <color indexed="64"/>
      </left>
      <right style="dotted">
        <color theme="0" tint="-4.9989318521683403E-2"/>
      </right>
      <top style="thin">
        <color theme="1" tint="0.249977111117893"/>
      </top>
      <bottom style="thin">
        <color theme="1" tint="0.249977111117893"/>
      </bottom>
      <diagonal/>
    </border>
    <border>
      <left style="thin">
        <color indexed="64"/>
      </left>
      <right style="thin">
        <color theme="0"/>
      </right>
      <top style="medium">
        <color indexed="64"/>
      </top>
      <bottom style="medium">
        <color indexed="64"/>
      </bottom>
      <diagonal/>
    </border>
    <border>
      <left style="thin">
        <color theme="0"/>
      </left>
      <right style="thin">
        <color indexed="64"/>
      </right>
      <top style="medium">
        <color indexed="64"/>
      </top>
      <bottom style="medium">
        <color indexed="64"/>
      </bottom>
      <diagonal/>
    </border>
    <border>
      <left style="thin">
        <color indexed="64"/>
      </left>
      <right style="dotted">
        <color theme="0" tint="-4.9989318521683403E-2"/>
      </right>
      <top style="thin">
        <color theme="1" tint="0.249977111117893"/>
      </top>
      <bottom style="thin">
        <color indexed="64"/>
      </bottom>
      <diagonal/>
    </border>
    <border>
      <left style="dotted">
        <color theme="0" tint="-4.9989318521683403E-2"/>
      </left>
      <right style="thin">
        <color indexed="64"/>
      </right>
      <top style="thin">
        <color theme="1" tint="0.249977111117893"/>
      </top>
      <bottom style="thin">
        <color theme="1" tint="0.249977111117893"/>
      </bottom>
      <diagonal/>
    </border>
    <border>
      <left style="dotted">
        <color theme="0" tint="-4.9989318521683403E-2"/>
      </left>
      <right style="thin">
        <color indexed="64"/>
      </right>
      <top style="thin">
        <color theme="1" tint="0.249977111117893"/>
      </top>
      <bottom style="thin">
        <color indexed="64"/>
      </bottom>
      <diagonal/>
    </border>
    <border>
      <left style="thin">
        <color indexed="64"/>
      </left>
      <right style="dotted">
        <color theme="0" tint="-4.9989318521683403E-2"/>
      </right>
      <top style="thin">
        <color theme="1" tint="0.249977111117893"/>
      </top>
      <bottom/>
      <diagonal/>
    </border>
    <border>
      <left style="dotted">
        <color theme="0" tint="-4.9989318521683403E-2"/>
      </left>
      <right style="thin">
        <color indexed="64"/>
      </right>
      <top style="thin">
        <color theme="1" tint="0.249977111117893"/>
      </top>
      <bottom/>
      <diagonal/>
    </border>
    <border>
      <left style="thin">
        <color indexed="64"/>
      </left>
      <right style="thin">
        <color indexed="64"/>
      </right>
      <top style="thin">
        <color indexed="64"/>
      </top>
      <bottom style="thin">
        <color indexed="64"/>
      </bottom>
      <diagonal/>
    </border>
    <border>
      <left style="dotted">
        <color theme="0" tint="-4.9989318521683403E-2"/>
      </left>
      <right style="thin">
        <color indexed="64"/>
      </right>
      <top style="thin">
        <color indexed="64"/>
      </top>
      <bottom style="thin">
        <color theme="1" tint="0.249977111117893"/>
      </bottom>
      <diagonal/>
    </border>
    <border>
      <left style="thin">
        <color indexed="64"/>
      </left>
      <right style="dotted">
        <color theme="0" tint="-4.9989318521683403E-2"/>
      </right>
      <top style="thin">
        <color indexed="64"/>
      </top>
      <bottom style="thin">
        <color indexed="64"/>
      </bottom>
      <diagonal/>
    </border>
    <border>
      <left style="dotted">
        <color theme="0" tint="-4.9989318521683403E-2"/>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tted">
        <color theme="0" tint="-4.9989318521683403E-2"/>
      </right>
      <top style="thin">
        <color indexed="64"/>
      </top>
      <bottom style="thin">
        <color theme="1" tint="0.249977111117893"/>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48">
    <xf numFmtId="0" fontId="0" fillId="0" borderId="0" xfId="0"/>
    <xf numFmtId="0" fontId="2" fillId="0" borderId="0" xfId="0" applyFont="1"/>
    <xf numFmtId="0" fontId="4" fillId="2" borderId="2" xfId="0" applyFont="1" applyFill="1" applyBorder="1" applyAlignment="1">
      <alignment vertical="center"/>
    </xf>
    <xf numFmtId="165" fontId="4" fillId="2" borderId="3" xfId="2" applyNumberFormat="1" applyFont="1" applyFill="1" applyBorder="1" applyAlignment="1">
      <alignment vertical="center"/>
    </xf>
    <xf numFmtId="0" fontId="6" fillId="0" borderId="0" xfId="0" applyFont="1" applyAlignment="1">
      <alignment horizontal="left" vertical="center"/>
    </xf>
    <xf numFmtId="0" fontId="6" fillId="0" borderId="0" xfId="0" applyFont="1" applyAlignment="1">
      <alignment horizontal="left" vertical="center" wrapText="1"/>
    </xf>
    <xf numFmtId="0" fontId="7" fillId="0" borderId="0" xfId="0" applyFont="1"/>
    <xf numFmtId="164" fontId="2" fillId="3" borderId="7" xfId="1" applyNumberFormat="1" applyFont="1" applyFill="1" applyBorder="1" applyAlignment="1">
      <alignment vertical="center"/>
    </xf>
    <xf numFmtId="0" fontId="0" fillId="0" borderId="0" xfId="0" applyAlignment="1">
      <alignment horizontal="left" indent="1"/>
    </xf>
    <xf numFmtId="164" fontId="3" fillId="3" borderId="1" xfId="1" applyNumberFormat="1" applyFont="1" applyFill="1" applyBorder="1" applyAlignment="1">
      <alignment vertical="center"/>
    </xf>
    <xf numFmtId="164" fontId="3" fillId="3" borderId="7" xfId="1" applyNumberFormat="1" applyFont="1" applyFill="1" applyBorder="1" applyAlignment="1">
      <alignment vertical="center"/>
    </xf>
    <xf numFmtId="164" fontId="2" fillId="3" borderId="7" xfId="1" applyNumberFormat="1" applyFont="1" applyFill="1" applyBorder="1" applyAlignment="1">
      <alignment horizontal="left" vertical="center" indent="1"/>
    </xf>
    <xf numFmtId="0" fontId="5" fillId="0" borderId="0" xfId="0" applyFont="1"/>
    <xf numFmtId="166" fontId="5" fillId="3" borderId="8" xfId="0" applyNumberFormat="1" applyFont="1" applyFill="1" applyBorder="1" applyAlignment="1">
      <alignment vertical="center"/>
    </xf>
    <xf numFmtId="0" fontId="5" fillId="3" borderId="8" xfId="0" applyFont="1" applyFill="1" applyBorder="1" applyAlignment="1">
      <alignment vertical="center"/>
    </xf>
    <xf numFmtId="164" fontId="10" fillId="3" borderId="5" xfId="0" applyNumberFormat="1" applyFont="1" applyFill="1" applyBorder="1" applyAlignment="1">
      <alignment vertical="center"/>
    </xf>
    <xf numFmtId="168" fontId="5" fillId="3" borderId="8" xfId="0" applyNumberFormat="1" applyFont="1" applyFill="1" applyBorder="1" applyAlignment="1">
      <alignment vertical="center"/>
    </xf>
    <xf numFmtId="164" fontId="2" fillId="3" borderId="1" xfId="1" applyNumberFormat="1" applyFont="1" applyFill="1" applyBorder="1" applyAlignment="1">
      <alignment horizontal="left" vertical="center" indent="1"/>
    </xf>
    <xf numFmtId="164" fontId="3" fillId="3" borderId="4" xfId="1" applyNumberFormat="1" applyFont="1" applyFill="1" applyBorder="1" applyAlignment="1">
      <alignment horizontal="left" vertical="center"/>
    </xf>
    <xf numFmtId="164" fontId="5" fillId="3" borderId="8" xfId="0" applyNumberFormat="1" applyFont="1" applyFill="1" applyBorder="1" applyAlignment="1">
      <alignment vertical="center"/>
    </xf>
    <xf numFmtId="164" fontId="11" fillId="3" borderId="6" xfId="0" applyNumberFormat="1" applyFont="1" applyFill="1" applyBorder="1" applyAlignment="1">
      <alignment vertical="center"/>
    </xf>
    <xf numFmtId="0" fontId="8" fillId="0" borderId="0" xfId="0" applyFont="1"/>
    <xf numFmtId="0" fontId="9" fillId="0" borderId="0" xfId="0" applyFont="1"/>
    <xf numFmtId="164" fontId="9" fillId="0" borderId="0" xfId="0" applyNumberFormat="1" applyFont="1"/>
    <xf numFmtId="168" fontId="9" fillId="0" borderId="0" xfId="0" applyNumberFormat="1" applyFont="1"/>
    <xf numFmtId="9" fontId="8" fillId="0" borderId="0" xfId="2" applyFont="1" applyAlignment="1">
      <alignment horizontal="center"/>
    </xf>
    <xf numFmtId="9" fontId="9" fillId="0" borderId="0" xfId="2" applyFont="1" applyAlignment="1">
      <alignment horizontal="center"/>
    </xf>
    <xf numFmtId="0" fontId="9" fillId="0" borderId="0" xfId="0" applyFont="1" applyAlignment="1">
      <alignment horizontal="center"/>
    </xf>
    <xf numFmtId="0" fontId="9" fillId="0" borderId="0" xfId="0" applyFont="1" applyAlignment="1">
      <alignment horizontal="left" indent="1"/>
    </xf>
    <xf numFmtId="164" fontId="2" fillId="3" borderId="11" xfId="1" applyNumberFormat="1" applyFont="1" applyFill="1" applyBorder="1" applyAlignment="1">
      <alignment horizontal="left" vertical="center"/>
    </xf>
    <xf numFmtId="164" fontId="2" fillId="3" borderId="13" xfId="1" applyNumberFormat="1" applyFont="1" applyFill="1" applyBorder="1" applyAlignment="1">
      <alignment horizontal="left" vertical="center"/>
    </xf>
    <xf numFmtId="0" fontId="0" fillId="0" borderId="13" xfId="0" applyBorder="1"/>
    <xf numFmtId="0" fontId="0" fillId="0" borderId="14" xfId="0" applyBorder="1"/>
    <xf numFmtId="0" fontId="0" fillId="0" borderId="15" xfId="0" applyBorder="1"/>
    <xf numFmtId="167" fontId="2" fillId="3" borderId="11" xfId="1" applyNumberFormat="1" applyFont="1" applyFill="1" applyBorder="1" applyAlignment="1">
      <alignment horizontal="left" vertical="center"/>
    </xf>
    <xf numFmtId="164" fontId="3" fillId="5" borderId="16" xfId="1" applyNumberFormat="1" applyFont="1" applyFill="1" applyBorder="1" applyAlignment="1">
      <alignment vertical="center"/>
    </xf>
    <xf numFmtId="0" fontId="5" fillId="5" borderId="10" xfId="0" applyFont="1" applyFill="1" applyBorder="1" applyAlignment="1">
      <alignment vertical="center"/>
    </xf>
    <xf numFmtId="166" fontId="5" fillId="5" borderId="10" xfId="0" applyNumberFormat="1" applyFont="1" applyFill="1" applyBorder="1" applyAlignment="1">
      <alignment vertical="center"/>
    </xf>
    <xf numFmtId="44" fontId="0" fillId="0" borderId="0" xfId="0" applyNumberFormat="1"/>
    <xf numFmtId="164" fontId="2" fillId="3" borderId="4" xfId="1" applyNumberFormat="1" applyFont="1" applyFill="1" applyBorder="1" applyAlignment="1">
      <alignment horizontal="left" vertical="center" indent="1"/>
    </xf>
    <xf numFmtId="164" fontId="11" fillId="3" borderId="5" xfId="0" applyNumberFormat="1" applyFont="1" applyFill="1" applyBorder="1" applyAlignment="1">
      <alignment vertical="center"/>
    </xf>
    <xf numFmtId="164" fontId="3" fillId="5" borderId="9" xfId="1" applyNumberFormat="1" applyFont="1" applyFill="1" applyBorder="1" applyAlignment="1">
      <alignment vertical="center"/>
    </xf>
    <xf numFmtId="44" fontId="9" fillId="0" borderId="0" xfId="0" applyNumberFormat="1" applyFont="1"/>
    <xf numFmtId="44" fontId="9" fillId="0" borderId="0" xfId="1" applyFont="1"/>
    <xf numFmtId="164" fontId="10" fillId="4" borderId="5" xfId="0" applyNumberFormat="1" applyFont="1" applyFill="1" applyBorder="1" applyAlignment="1" applyProtection="1">
      <alignment vertical="center"/>
      <protection locked="0"/>
    </xf>
    <xf numFmtId="0" fontId="10" fillId="4" borderId="12" xfId="2" applyNumberFormat="1" applyFont="1" applyFill="1" applyBorder="1" applyAlignment="1" applyProtection="1">
      <alignment vertical="center"/>
      <protection locked="0"/>
    </xf>
    <xf numFmtId="9" fontId="10" fillId="4" borderId="12" xfId="2" applyFont="1" applyFill="1" applyBorder="1" applyAlignment="1" applyProtection="1">
      <alignment vertical="center"/>
      <protection locked="0"/>
    </xf>
    <xf numFmtId="166" fontId="10" fillId="4" borderId="12" xfId="2" applyNumberFormat="1" applyFont="1" applyFill="1" applyBorder="1" applyAlignment="1" applyProtection="1">
      <alignment vertical="center"/>
      <protection locked="0"/>
    </xf>
  </cellXfs>
  <cellStyles count="3">
    <cellStyle name="Currency" xfId="1" builtinId="4"/>
    <cellStyle name="Normal" xfId="0" builtinId="0"/>
    <cellStyle name="Percent" xfId="2" builtinId="5"/>
  </cellStyles>
  <dxfs count="70">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
      <fill>
        <patternFill>
          <bgColor rgb="FFB0A9BF"/>
        </patternFill>
      </fill>
    </dxf>
  </dxfs>
  <tableStyles count="0" defaultTableStyle="TableStyleMedium2" defaultPivotStyle="PivotStyleLight16"/>
  <colors>
    <mruColors>
      <color rgb="FFB0A9BF"/>
      <color rgb="FF9288A6"/>
      <color rgb="FF897E9E"/>
      <color rgb="FF6D638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Project Costs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6-F112-4496-8A95-E437C318A36E}"/>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2-F112-4496-8A95-E437C318A36E}"/>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F112-4496-8A95-E437C318A36E}"/>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F112-4496-8A95-E437C318A36E}"/>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4-F112-4496-8A95-E437C318A36E}"/>
              </c:ext>
            </c:extLst>
          </c:dPt>
          <c:dLbls>
            <c:dLbl>
              <c:idx val="0"/>
              <c:layout>
                <c:manualLayout>
                  <c:x val="5.5578713352785782E-2"/>
                  <c:y val="1.5325670498084273E-2"/>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6-F112-4496-8A95-E437C318A36E}"/>
                </c:ext>
              </c:extLst>
            </c:dLbl>
            <c:dLbl>
              <c:idx val="1"/>
              <c:layout>
                <c:manualLayout>
                  <c:x val="0.10559955537029328"/>
                  <c:y val="-1.9157088122605363E-2"/>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2-F112-4496-8A95-E437C318A36E}"/>
                </c:ext>
              </c:extLst>
            </c:dLbl>
            <c:dLbl>
              <c:idx val="2"/>
              <c:layout>
                <c:manualLayout>
                  <c:x val="-6.947339169098235E-2"/>
                  <c:y val="8.0459770114942528E-2"/>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F112-4496-8A95-E437C318A36E}"/>
                </c:ext>
              </c:extLst>
            </c:dLbl>
            <c:dLbl>
              <c:idx val="3"/>
              <c:layout>
                <c:manualLayout>
                  <c:x val="-0.1389467833819647"/>
                  <c:y val="0.13026819923371646"/>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3-F112-4496-8A95-E437C318A36E}"/>
                </c:ext>
              </c:extLst>
            </c:dLbl>
            <c:dLbl>
              <c:idx val="4"/>
              <c:layout>
                <c:manualLayout>
                  <c:x val="-0.12505210504376826"/>
                  <c:y val="1.1494252873563218E-2"/>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4-F112-4496-8A95-E437C318A36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'Pro Forma 1'!$A$32:$A$36</c:f>
              <c:strCache>
                <c:ptCount val="5"/>
                <c:pt idx="0">
                  <c:v> Land Costs </c:v>
                </c:pt>
                <c:pt idx="1">
                  <c:v> Construction Costs </c:v>
                </c:pt>
                <c:pt idx="2">
                  <c:v> Soft Costs </c:v>
                </c:pt>
                <c:pt idx="3">
                  <c:v> Contingency </c:v>
                </c:pt>
                <c:pt idx="4">
                  <c:v> Profit &amp; Distributable Cash </c:v>
                </c:pt>
              </c:strCache>
            </c:strRef>
          </c:cat>
          <c:val>
            <c:numRef>
              <c:f>'Pro Forma 1'!$B$32:$B$36</c:f>
              <c:numCache>
                <c:formatCode>_("$"* #,##0_);_("$"* \(#,##0\);_("$"* "-"??_);_(@_)</c:formatCode>
                <c:ptCount val="5"/>
                <c:pt idx="0">
                  <c:v>2832135.5441869232</c:v>
                </c:pt>
                <c:pt idx="1">
                  <c:v>11650000</c:v>
                </c:pt>
                <c:pt idx="2" formatCode="_(&quot;$&quot;* #,##0_);_(&quot;$&quot;* \(#,##0\);_(&quot;$&quot;* &quot;-&quot;?_);_(@_)">
                  <c:v>3587566.5592545178</c:v>
                </c:pt>
                <c:pt idx="3">
                  <c:v>542091.06310324313</c:v>
                </c:pt>
                <c:pt idx="4">
                  <c:v>2067977.0185049649</c:v>
                </c:pt>
              </c:numCache>
            </c:numRef>
          </c:val>
          <c:extLst>
            <c:ext xmlns:c16="http://schemas.microsoft.com/office/drawing/2014/chart" uri="{C3380CC4-5D6E-409C-BE32-E72D297353CC}">
              <c16:uniqueId val="{00000000-F112-4496-8A95-E437C318A36E}"/>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Project Costs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C349-4A99-BBB1-9F8A4D72F376}"/>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C349-4A99-BBB1-9F8A4D72F376}"/>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C349-4A99-BBB1-9F8A4D72F376}"/>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C349-4A99-BBB1-9F8A4D72F376}"/>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C349-4A99-BBB1-9F8A4D72F376}"/>
              </c:ext>
            </c:extLst>
          </c:dPt>
          <c:dLbls>
            <c:dLbl>
              <c:idx val="0"/>
              <c:layout>
                <c:manualLayout>
                  <c:x val="5.5578713352785782E-2"/>
                  <c:y val="1.5325670498084273E-2"/>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C349-4A99-BBB1-9F8A4D72F376}"/>
                </c:ext>
              </c:extLst>
            </c:dLbl>
            <c:dLbl>
              <c:idx val="1"/>
              <c:layout>
                <c:manualLayout>
                  <c:x val="0.10559955537029328"/>
                  <c:y val="-1.9157088122605363E-2"/>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3-C349-4A99-BBB1-9F8A4D72F376}"/>
                </c:ext>
              </c:extLst>
            </c:dLbl>
            <c:dLbl>
              <c:idx val="2"/>
              <c:layout>
                <c:manualLayout>
                  <c:x val="-6.947339169098235E-2"/>
                  <c:y val="8.0459770114942528E-2"/>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C349-4A99-BBB1-9F8A4D72F376}"/>
                </c:ext>
              </c:extLst>
            </c:dLbl>
            <c:dLbl>
              <c:idx val="3"/>
              <c:layout>
                <c:manualLayout>
                  <c:x val="-0.1389467833819647"/>
                  <c:y val="0.13026819923371646"/>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7-C349-4A99-BBB1-9F8A4D72F376}"/>
                </c:ext>
              </c:extLst>
            </c:dLbl>
            <c:dLbl>
              <c:idx val="4"/>
              <c:layout>
                <c:manualLayout>
                  <c:x val="-0.12505210504376826"/>
                  <c:y val="1.1494252873563218E-2"/>
                </c:manualLayout>
              </c:layout>
              <c:dLblPos val="bestFi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9-C349-4A99-BBB1-9F8A4D72F37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'Pro Forma 2'!$A$32:$A$36</c:f>
              <c:strCache>
                <c:ptCount val="5"/>
                <c:pt idx="0">
                  <c:v> Land Costs </c:v>
                </c:pt>
                <c:pt idx="1">
                  <c:v> Construction Costs </c:v>
                </c:pt>
                <c:pt idx="2">
                  <c:v> Soft Costs </c:v>
                </c:pt>
                <c:pt idx="3">
                  <c:v> Contingency </c:v>
                </c:pt>
                <c:pt idx="4">
                  <c:v> Profit &amp; Distributable Cash </c:v>
                </c:pt>
              </c:strCache>
            </c:strRef>
          </c:cat>
          <c:val>
            <c:numRef>
              <c:f>'Pro Forma 2'!$B$32:$B$36</c:f>
              <c:numCache>
                <c:formatCode>_("$"* #,##0_);_("$"* \(#,##0\);_("$"* "-"??_);_(@_)</c:formatCode>
                <c:ptCount val="5"/>
                <c:pt idx="0">
                  <c:v>566427.10883738473</c:v>
                </c:pt>
                <c:pt idx="1">
                  <c:v>5410000</c:v>
                </c:pt>
                <c:pt idx="2" formatCode="_(&quot;$&quot;* #,##0_);_(&quot;$&quot;* \(#,##0\);_(&quot;$&quot;* &quot;-&quot;?_);_(@_)">
                  <c:v>2129232.6253705528</c:v>
                </c:pt>
                <c:pt idx="3">
                  <c:v>243169.79202623811</c:v>
                </c:pt>
                <c:pt idx="4">
                  <c:v>927647.72513713071</c:v>
                </c:pt>
              </c:numCache>
            </c:numRef>
          </c:val>
          <c:extLst>
            <c:ext xmlns:c16="http://schemas.microsoft.com/office/drawing/2014/chart" uri="{C3380CC4-5D6E-409C-BE32-E72D297353CC}">
              <c16:uniqueId val="{0000000A-C349-4A99-BBB1-9F8A4D72F376}"/>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1448435</xdr:colOff>
      <xdr:row>0</xdr:row>
      <xdr:rowOff>1446530</xdr:rowOff>
    </xdr:to>
    <xdr:pic>
      <xdr:nvPicPr>
        <xdr:cNvPr id="2" name="Picture 1">
          <a:extLst>
            <a:ext uri="{FF2B5EF4-FFF2-40B4-BE49-F238E27FC236}">
              <a16:creationId xmlns:a16="http://schemas.microsoft.com/office/drawing/2014/main" id="{AB5C43F1-5E70-4D6E-9E44-E0C025060C7C}"/>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444625" cy="14446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19050</xdr:colOff>
      <xdr:row>28</xdr:row>
      <xdr:rowOff>7620</xdr:rowOff>
    </xdr:from>
    <xdr:to>
      <xdr:col>6</xdr:col>
      <xdr:colOff>588645</xdr:colOff>
      <xdr:row>46</xdr:row>
      <xdr:rowOff>66675</xdr:rowOff>
    </xdr:to>
    <xdr:graphicFrame macro="">
      <xdr:nvGraphicFramePr>
        <xdr:cNvPr id="2" name="Chart 1">
          <a:extLst>
            <a:ext uri="{FF2B5EF4-FFF2-40B4-BE49-F238E27FC236}">
              <a16:creationId xmlns:a16="http://schemas.microsoft.com/office/drawing/2014/main" id="{3520F846-CCCE-4029-ACFE-142BBBAE68B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19050</xdr:colOff>
      <xdr:row>28</xdr:row>
      <xdr:rowOff>7620</xdr:rowOff>
    </xdr:from>
    <xdr:to>
      <xdr:col>6</xdr:col>
      <xdr:colOff>588645</xdr:colOff>
      <xdr:row>46</xdr:row>
      <xdr:rowOff>66675</xdr:rowOff>
    </xdr:to>
    <xdr:graphicFrame macro="">
      <xdr:nvGraphicFramePr>
        <xdr:cNvPr id="2" name="Chart 1">
          <a:extLst>
            <a:ext uri="{FF2B5EF4-FFF2-40B4-BE49-F238E27FC236}">
              <a16:creationId xmlns:a16="http://schemas.microsoft.com/office/drawing/2014/main" id="{1F4CB875-FEB9-4CF9-8525-CA5171222E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6AD5D-2613-4B56-8809-3054F8806208}">
  <dimension ref="B1:B12"/>
  <sheetViews>
    <sheetView workbookViewId="0">
      <selection activeCell="B6" sqref="B6"/>
    </sheetView>
  </sheetViews>
  <sheetFormatPr defaultRowHeight="14.4" x14ac:dyDescent="0.55000000000000004"/>
  <cols>
    <col min="1" max="1" width="20.15625" customWidth="1"/>
    <col min="2" max="2" width="70.68359375" customWidth="1"/>
  </cols>
  <sheetData>
    <row r="1" spans="2:2" ht="114.9" customHeight="1" x14ac:dyDescent="0.55000000000000004"/>
    <row r="2" spans="2:2" ht="17.399999999999999" x14ac:dyDescent="0.55000000000000004">
      <c r="B2" s="6" t="s">
        <v>0</v>
      </c>
    </row>
    <row r="3" spans="2:2" x14ac:dyDescent="0.55000000000000004">
      <c r="B3" s="1"/>
    </row>
    <row r="4" spans="2:2" x14ac:dyDescent="0.55000000000000004">
      <c r="B4" s="4" t="s">
        <v>1</v>
      </c>
    </row>
    <row r="5" spans="2:2" x14ac:dyDescent="0.55000000000000004">
      <c r="B5" s="1"/>
    </row>
    <row r="6" spans="2:2" ht="43.2" x14ac:dyDescent="0.55000000000000004">
      <c r="B6" s="5" t="s">
        <v>2</v>
      </c>
    </row>
    <row r="7" spans="2:2" x14ac:dyDescent="0.55000000000000004">
      <c r="B7" s="1"/>
    </row>
    <row r="8" spans="2:2" ht="100.8" x14ac:dyDescent="0.55000000000000004">
      <c r="B8" s="5" t="s">
        <v>3</v>
      </c>
    </row>
    <row r="9" spans="2:2" x14ac:dyDescent="0.55000000000000004">
      <c r="B9" s="1"/>
    </row>
    <row r="10" spans="2:2" ht="28.8" x14ac:dyDescent="0.55000000000000004">
      <c r="B10" s="5" t="s">
        <v>36</v>
      </c>
    </row>
    <row r="11" spans="2:2" x14ac:dyDescent="0.55000000000000004">
      <c r="B11" s="1"/>
    </row>
    <row r="12" spans="2:2" ht="28.8" x14ac:dyDescent="0.55000000000000004">
      <c r="B12" s="5" t="s">
        <v>4</v>
      </c>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7175D-D0C3-4399-8E6B-2D489F927396}">
  <dimension ref="A1:M36"/>
  <sheetViews>
    <sheetView workbookViewId="0">
      <selection activeCell="E22" sqref="E22"/>
    </sheetView>
  </sheetViews>
  <sheetFormatPr defaultRowHeight="14.4" x14ac:dyDescent="0.55000000000000004"/>
  <cols>
    <col min="1" max="1" width="57.41796875" bestFit="1" customWidth="1"/>
    <col min="2" max="2" width="16.1015625" bestFit="1" customWidth="1"/>
    <col min="3" max="3" width="14.3125" style="22" bestFit="1" customWidth="1"/>
    <col min="4" max="4" width="31.62890625" bestFit="1" customWidth="1"/>
    <col min="5" max="5" width="8.89453125" customWidth="1"/>
    <col min="6" max="6" width="18.47265625" bestFit="1" customWidth="1"/>
    <col min="8" max="8" width="21.7890625" customWidth="1"/>
    <col min="11" max="11" width="30.20703125" style="22" bestFit="1" customWidth="1"/>
    <col min="12" max="12" width="14.3125" style="22" bestFit="1" customWidth="1"/>
    <col min="13" max="13" width="12.3671875" style="22" bestFit="1" customWidth="1"/>
  </cols>
  <sheetData>
    <row r="1" spans="1:13" ht="18.600000000000001" thickBot="1" x14ac:dyDescent="0.6">
      <c r="A1" s="2" t="s">
        <v>35</v>
      </c>
      <c r="B1" s="3"/>
    </row>
    <row r="3" spans="1:13" x14ac:dyDescent="0.55000000000000004">
      <c r="A3" s="35" t="s">
        <v>5</v>
      </c>
      <c r="B3" s="36"/>
      <c r="D3" s="41" t="s">
        <v>21</v>
      </c>
      <c r="K3" s="22" t="s">
        <v>37</v>
      </c>
      <c r="L3" s="43">
        <v>530250.51756537566</v>
      </c>
    </row>
    <row r="4" spans="1:13" x14ac:dyDescent="0.55000000000000004">
      <c r="A4" s="9" t="s">
        <v>6</v>
      </c>
      <c r="B4" s="40">
        <f>B29</f>
        <v>20679770.185049649</v>
      </c>
      <c r="C4" s="42">
        <f>SUM(C5:C6)</f>
        <v>20679770.185049653</v>
      </c>
      <c r="D4" s="33"/>
      <c r="E4" s="31"/>
      <c r="F4" s="31"/>
      <c r="G4" s="32"/>
      <c r="K4" s="22" t="s">
        <v>38</v>
      </c>
      <c r="L4" s="43">
        <v>528206.13841263624</v>
      </c>
      <c r="M4" s="42">
        <f>L4-L$3</f>
        <v>-2044.3791527394205</v>
      </c>
    </row>
    <row r="5" spans="1:13" x14ac:dyDescent="0.55000000000000004">
      <c r="A5" s="17" t="s">
        <v>43</v>
      </c>
      <c r="B5" s="15">
        <f>B4/((G16-E5)+E5*(1-G5))</f>
        <v>530250.51756537566</v>
      </c>
      <c r="C5" s="42">
        <f>(G16-E5)*B5</f>
        <v>20149519.667484276</v>
      </c>
      <c r="D5" s="29" t="s">
        <v>41</v>
      </c>
      <c r="E5" s="45">
        <v>2</v>
      </c>
      <c r="F5" s="30" t="s">
        <v>42</v>
      </c>
      <c r="G5" s="46">
        <v>0.5</v>
      </c>
      <c r="K5" s="22" t="s">
        <v>39</v>
      </c>
      <c r="L5" s="43">
        <v>512571.17888125766</v>
      </c>
      <c r="M5" s="42">
        <f t="shared" ref="M5:M12" si="0">L5-L$3</f>
        <v>-17679.338684118004</v>
      </c>
    </row>
    <row r="6" spans="1:13" x14ac:dyDescent="0.55000000000000004">
      <c r="A6" s="39" t="s">
        <v>44</v>
      </c>
      <c r="B6" s="15">
        <f>G5*B5</f>
        <v>265125.25878268783</v>
      </c>
      <c r="C6" s="42">
        <f>B6*E5</f>
        <v>530250.51756537566</v>
      </c>
      <c r="D6" s="33"/>
      <c r="E6" s="31"/>
      <c r="F6" s="31"/>
      <c r="G6" s="32"/>
      <c r="K6" s="22" t="s">
        <v>45</v>
      </c>
      <c r="L6" s="43">
        <v>512339.84478281025</v>
      </c>
      <c r="M6" s="42">
        <f t="shared" si="0"/>
        <v>-17910.672782565409</v>
      </c>
    </row>
    <row r="7" spans="1:13" x14ac:dyDescent="0.55000000000000004">
      <c r="B7" s="12"/>
      <c r="D7" s="38"/>
      <c r="E7" s="38"/>
      <c r="K7" s="22" t="s">
        <v>40</v>
      </c>
      <c r="L7" s="43">
        <v>516994.25462624122</v>
      </c>
      <c r="M7" s="42">
        <f t="shared" si="0"/>
        <v>-13256.262939134438</v>
      </c>
    </row>
    <row r="8" spans="1:13" x14ac:dyDescent="0.55000000000000004">
      <c r="A8" s="35" t="s">
        <v>7</v>
      </c>
      <c r="B8" s="37"/>
      <c r="D8" s="41" t="s">
        <v>21</v>
      </c>
      <c r="K8" s="22" t="s">
        <v>46</v>
      </c>
      <c r="L8" s="43">
        <v>506383.41034181637</v>
      </c>
      <c r="M8" s="42">
        <f t="shared" si="0"/>
        <v>-23867.107223559287</v>
      </c>
    </row>
    <row r="9" spans="1:13" x14ac:dyDescent="0.55000000000000004">
      <c r="A9" s="10"/>
      <c r="B9" s="13"/>
      <c r="D9" s="33"/>
      <c r="E9" s="31"/>
      <c r="F9" s="31"/>
      <c r="G9" s="31"/>
      <c r="H9" s="31"/>
      <c r="I9" s="32"/>
      <c r="K9" s="22" t="s">
        <v>47</v>
      </c>
      <c r="L9" s="43">
        <v>495775.80713134567</v>
      </c>
      <c r="M9" s="42">
        <f t="shared" si="0"/>
        <v>-34474.710434029985</v>
      </c>
    </row>
    <row r="10" spans="1:13" x14ac:dyDescent="0.55000000000000004">
      <c r="A10" s="10" t="s">
        <v>8</v>
      </c>
      <c r="B10" s="14"/>
      <c r="C10" s="25" cm="1">
        <f t="array" ref="C10">SUM(B11:B12/B$29)</f>
        <v>0.13695198345262094</v>
      </c>
      <c r="D10" s="33"/>
      <c r="E10" s="31"/>
      <c r="F10" s="31"/>
      <c r="G10" s="31"/>
      <c r="H10" s="31"/>
      <c r="I10" s="32"/>
      <c r="M10" s="42"/>
    </row>
    <row r="11" spans="1:13" x14ac:dyDescent="0.55000000000000004">
      <c r="A11" s="11" t="s">
        <v>9</v>
      </c>
      <c r="B11" s="44">
        <v>2500000</v>
      </c>
      <c r="C11" s="26"/>
      <c r="D11" s="33"/>
      <c r="E11" s="31"/>
      <c r="F11" s="31"/>
      <c r="G11" s="31"/>
      <c r="H11" s="31"/>
      <c r="I11" s="32"/>
      <c r="M11" s="42"/>
    </row>
    <row r="12" spans="1:13" x14ac:dyDescent="0.55000000000000004">
      <c r="A12" s="11" t="s">
        <v>10</v>
      </c>
      <c r="B12" s="15">
        <f>FV(E12/12,G12*12,0,-B11)-B11</f>
        <v>332135.54418692319</v>
      </c>
      <c r="C12" s="26"/>
      <c r="D12" s="29" t="s">
        <v>22</v>
      </c>
      <c r="E12" s="46">
        <v>0.05</v>
      </c>
      <c r="F12" s="30" t="s">
        <v>23</v>
      </c>
      <c r="G12" s="45">
        <v>2.5</v>
      </c>
      <c r="H12" s="31"/>
      <c r="I12" s="32"/>
      <c r="K12" s="22" t="s">
        <v>48</v>
      </c>
      <c r="L12" s="43">
        <v>451083.51502222865</v>
      </c>
      <c r="M12" s="42">
        <f t="shared" si="0"/>
        <v>-79167.002543147013</v>
      </c>
    </row>
    <row r="13" spans="1:13" x14ac:dyDescent="0.55000000000000004">
      <c r="A13" s="7"/>
      <c r="B13" s="14"/>
      <c r="C13" s="27"/>
      <c r="D13" s="33"/>
      <c r="E13" s="31"/>
      <c r="F13" s="31"/>
      <c r="G13" s="31"/>
      <c r="H13" s="31"/>
      <c r="I13" s="32"/>
    </row>
    <row r="14" spans="1:13" x14ac:dyDescent="0.55000000000000004">
      <c r="A14" s="10" t="s">
        <v>11</v>
      </c>
      <c r="B14" s="14"/>
      <c r="C14" s="25" cm="1">
        <f t="array" ref="C14">SUM(B15:B17/B$29)</f>
        <v>0.56335248872457577</v>
      </c>
      <c r="D14" s="33"/>
      <c r="E14" s="31"/>
      <c r="F14" s="31"/>
      <c r="G14" s="31"/>
      <c r="H14" s="31"/>
      <c r="I14" s="32"/>
    </row>
    <row r="15" spans="1:13" x14ac:dyDescent="0.55000000000000004">
      <c r="A15" s="11" t="s">
        <v>12</v>
      </c>
      <c r="B15" s="44">
        <v>1500000</v>
      </c>
      <c r="C15" s="26"/>
      <c r="D15" s="33"/>
      <c r="E15" s="31"/>
      <c r="F15" s="31"/>
      <c r="G15" s="31"/>
      <c r="H15" s="31"/>
      <c r="I15" s="32"/>
    </row>
    <row r="16" spans="1:13" x14ac:dyDescent="0.55000000000000004">
      <c r="A16" s="11" t="s">
        <v>13</v>
      </c>
      <c r="B16" s="15">
        <f>E16*G16*I16</f>
        <v>8800000</v>
      </c>
      <c r="C16" s="26"/>
      <c r="D16" s="29" t="s">
        <v>25</v>
      </c>
      <c r="E16" s="47">
        <v>200</v>
      </c>
      <c r="F16" s="29" t="s">
        <v>24</v>
      </c>
      <c r="G16" s="45">
        <v>40</v>
      </c>
      <c r="H16" s="30" t="s">
        <v>26</v>
      </c>
      <c r="I16" s="45">
        <v>1100</v>
      </c>
    </row>
    <row r="17" spans="1:13" x14ac:dyDescent="0.55000000000000004">
      <c r="A17" s="11" t="s">
        <v>14</v>
      </c>
      <c r="B17" s="15">
        <f>E17*G17</f>
        <v>1350000</v>
      </c>
      <c r="C17" s="26"/>
      <c r="D17" s="29" t="s">
        <v>25</v>
      </c>
      <c r="E17" s="47">
        <v>225</v>
      </c>
      <c r="F17" s="30" t="s">
        <v>27</v>
      </c>
      <c r="G17" s="45">
        <v>6000</v>
      </c>
      <c r="H17" s="31"/>
      <c r="I17" s="32"/>
    </row>
    <row r="18" spans="1:13" x14ac:dyDescent="0.55000000000000004">
      <c r="A18" s="7"/>
      <c r="B18" s="14"/>
      <c r="C18" s="27"/>
      <c r="D18" s="33"/>
      <c r="E18" s="31"/>
      <c r="F18" s="31"/>
      <c r="G18" s="31"/>
      <c r="H18" s="31"/>
      <c r="I18" s="32"/>
    </row>
    <row r="19" spans="1:13" x14ac:dyDescent="0.55000000000000004">
      <c r="A19" s="10" t="s">
        <v>15</v>
      </c>
      <c r="B19" s="14"/>
      <c r="C19" s="25" cm="1">
        <f t="array" ref="C19">SUM(B20:B23/B$29)</f>
        <v>0.17348193558979361</v>
      </c>
      <c r="D19" s="33"/>
      <c r="E19" s="31"/>
      <c r="F19" s="31"/>
      <c r="G19" s="31"/>
      <c r="H19" s="31"/>
      <c r="I19" s="32"/>
    </row>
    <row r="20" spans="1:13" x14ac:dyDescent="0.55000000000000004">
      <c r="A20" s="11" t="s">
        <v>16</v>
      </c>
      <c r="B20" s="16">
        <f>E20*SUM(B15:B17)</f>
        <v>1165000</v>
      </c>
      <c r="C20" s="26"/>
      <c r="D20" s="34" t="s">
        <v>28</v>
      </c>
      <c r="E20" s="46">
        <v>0.1</v>
      </c>
      <c r="F20" s="31"/>
      <c r="G20" s="31"/>
      <c r="H20" s="31"/>
      <c r="I20" s="32"/>
    </row>
    <row r="21" spans="1:13" x14ac:dyDescent="0.55000000000000004">
      <c r="A21" s="11" t="s">
        <v>17</v>
      </c>
      <c r="B21" s="16">
        <f>E21*G16</f>
        <v>600000</v>
      </c>
      <c r="C21" s="26"/>
      <c r="D21" s="29" t="s">
        <v>29</v>
      </c>
      <c r="E21" s="47">
        <v>15000</v>
      </c>
      <c r="F21" s="31"/>
      <c r="G21" s="31"/>
      <c r="H21" s="31"/>
      <c r="I21" s="32"/>
    </row>
    <row r="22" spans="1:13" x14ac:dyDescent="0.55000000000000004">
      <c r="A22" s="11" t="s">
        <v>18</v>
      </c>
      <c r="B22" s="16">
        <f>E22*G16</f>
        <v>600000</v>
      </c>
      <c r="C22" s="26"/>
      <c r="D22" s="29" t="s">
        <v>29</v>
      </c>
      <c r="E22" s="47">
        <v>15000</v>
      </c>
      <c r="F22" s="31"/>
      <c r="G22" s="31"/>
      <c r="H22" s="31"/>
      <c r="I22" s="32"/>
    </row>
    <row r="23" spans="1:13" x14ac:dyDescent="0.55000000000000004">
      <c r="A23" s="11" t="s">
        <v>19</v>
      </c>
      <c r="B23" s="15">
        <f>FV(E23/12,G23*12,0,-SUM(B15:B17))-SUM(B15:B17)</f>
        <v>1222566.5592545178</v>
      </c>
      <c r="C23" s="26"/>
      <c r="D23" s="29" t="s">
        <v>22</v>
      </c>
      <c r="E23" s="46">
        <v>0.05</v>
      </c>
      <c r="F23" s="30" t="s">
        <v>23</v>
      </c>
      <c r="G23" s="45">
        <v>2</v>
      </c>
      <c r="H23" s="31"/>
      <c r="I23" s="32"/>
    </row>
    <row r="24" spans="1:13" x14ac:dyDescent="0.55000000000000004">
      <c r="A24" s="7"/>
      <c r="B24" s="14"/>
      <c r="C24" s="27"/>
      <c r="D24" s="33"/>
      <c r="E24" s="31"/>
      <c r="F24" s="31"/>
      <c r="G24" s="31"/>
      <c r="H24" s="31"/>
      <c r="I24" s="32"/>
    </row>
    <row r="25" spans="1:13" x14ac:dyDescent="0.55000000000000004">
      <c r="A25" s="10" t="s">
        <v>31</v>
      </c>
      <c r="B25" s="19">
        <f>SUM(B11:B23)*E25</f>
        <v>542091.06310324313</v>
      </c>
      <c r="C25" s="25">
        <f>B25/B$29</f>
        <v>2.6213592233009703E-2</v>
      </c>
      <c r="D25" s="34" t="s">
        <v>32</v>
      </c>
      <c r="E25" s="46">
        <v>0.03</v>
      </c>
      <c r="F25" s="31"/>
      <c r="G25" s="31"/>
      <c r="H25" s="31"/>
      <c r="I25" s="32"/>
    </row>
    <row r="26" spans="1:13" x14ac:dyDescent="0.55000000000000004">
      <c r="A26" s="7"/>
      <c r="B26" s="14"/>
      <c r="C26" s="27"/>
      <c r="D26" s="33"/>
      <c r="E26" s="31"/>
      <c r="F26" s="31"/>
      <c r="G26" s="31"/>
      <c r="H26" s="31"/>
      <c r="I26" s="32"/>
    </row>
    <row r="27" spans="1:13" x14ac:dyDescent="0.55000000000000004">
      <c r="A27" s="9" t="s">
        <v>20</v>
      </c>
      <c r="B27" s="15">
        <f>SUM(B11:B25)*(E27/(1-E27))</f>
        <v>2067977.0185049649</v>
      </c>
      <c r="C27" s="25">
        <f>B27/B$29</f>
        <v>9.9999999999999992E-2</v>
      </c>
      <c r="D27" s="34" t="s">
        <v>33</v>
      </c>
      <c r="E27" s="46">
        <v>0.1</v>
      </c>
      <c r="F27" s="31"/>
      <c r="G27" s="31"/>
      <c r="H27" s="31"/>
      <c r="I27" s="32"/>
    </row>
    <row r="28" spans="1:13" x14ac:dyDescent="0.55000000000000004">
      <c r="A28" s="7"/>
      <c r="B28" s="14"/>
    </row>
    <row r="29" spans="1:13" s="8" customFormat="1" x14ac:dyDescent="0.55000000000000004">
      <c r="A29" s="18" t="s">
        <v>30</v>
      </c>
      <c r="B29" s="20">
        <f>SUM(B11:B27)</f>
        <v>20679770.185049649</v>
      </c>
      <c r="C29" s="28"/>
      <c r="K29" s="28"/>
      <c r="L29" s="28"/>
      <c r="M29" s="28"/>
    </row>
    <row r="31" spans="1:13" x14ac:dyDescent="0.55000000000000004">
      <c r="A31" s="21" t="s">
        <v>34</v>
      </c>
      <c r="B31" s="22"/>
      <c r="C31" s="23"/>
    </row>
    <row r="32" spans="1:13" x14ac:dyDescent="0.55000000000000004">
      <c r="A32" s="23" t="str">
        <f>A10</f>
        <v>Land Costs</v>
      </c>
      <c r="B32" s="23">
        <f>SUM(B11:B12)</f>
        <v>2832135.5441869232</v>
      </c>
    </row>
    <row r="33" spans="1:2" x14ac:dyDescent="0.55000000000000004">
      <c r="A33" s="23" t="str">
        <f>A14</f>
        <v>Construction Costs</v>
      </c>
      <c r="B33" s="23">
        <f>SUM(B15:B17)</f>
        <v>11650000</v>
      </c>
    </row>
    <row r="34" spans="1:2" x14ac:dyDescent="0.55000000000000004">
      <c r="A34" s="23" t="str">
        <f>A19</f>
        <v>Soft Costs</v>
      </c>
      <c r="B34" s="24">
        <f>SUM(B20:B23)</f>
        <v>3587566.5592545178</v>
      </c>
    </row>
    <row r="35" spans="1:2" x14ac:dyDescent="0.55000000000000004">
      <c r="A35" s="23" t="str">
        <f>A25</f>
        <v>Contingency</v>
      </c>
      <c r="B35" s="23">
        <f>B25</f>
        <v>542091.06310324313</v>
      </c>
    </row>
    <row r="36" spans="1:2" x14ac:dyDescent="0.55000000000000004">
      <c r="A36" s="23" t="str">
        <f>A27</f>
        <v>Profit &amp; Distributable Cash</v>
      </c>
      <c r="B36" s="23">
        <f>B27</f>
        <v>2067977.0185049649</v>
      </c>
    </row>
  </sheetData>
  <conditionalFormatting sqref="A3:B3 A28:B28 A29 A4:A6">
    <cfRule type="expression" dxfId="69" priority="52">
      <formula>$A3="Accepted"</formula>
    </cfRule>
  </conditionalFormatting>
  <conditionalFormatting sqref="A10:B10 A8:A9 A13:B14 A11:A12 A15:A17 A24:B26 A23 A18:B22 A27">
    <cfRule type="expression" dxfId="68" priority="51">
      <formula>$A8="Accepted"</formula>
    </cfRule>
  </conditionalFormatting>
  <conditionalFormatting sqref="B8:B9">
    <cfRule type="expression" dxfId="67" priority="49">
      <formula>$A8="Accepted"</formula>
    </cfRule>
  </conditionalFormatting>
  <conditionalFormatting sqref="B11">
    <cfRule type="expression" dxfId="66" priority="44">
      <formula>$A11="Accepted"</formula>
    </cfRule>
  </conditionalFormatting>
  <conditionalFormatting sqref="F12 H16 F16:F17 D12 D16:D17 D20:D22">
    <cfRule type="expression" dxfId="65" priority="43">
      <formula>$A12="Accepted"</formula>
    </cfRule>
  </conditionalFormatting>
  <conditionalFormatting sqref="E16:E17">
    <cfRule type="expression" dxfId="64" priority="22">
      <formula>$A16="Accepted"</formula>
    </cfRule>
  </conditionalFormatting>
  <conditionalFormatting sqref="B23">
    <cfRule type="expression" dxfId="63" priority="17">
      <formula>$A23="Accepted"</formula>
    </cfRule>
  </conditionalFormatting>
  <conditionalFormatting sqref="B27">
    <cfRule type="expression" dxfId="62" priority="16">
      <formula>$A27="Accepted"</formula>
    </cfRule>
  </conditionalFormatting>
  <conditionalFormatting sqref="E12">
    <cfRule type="expression" dxfId="61" priority="37">
      <formula>$A12="Accepted"</formula>
    </cfRule>
  </conditionalFormatting>
  <conditionalFormatting sqref="G12">
    <cfRule type="expression" dxfId="60" priority="35">
      <formula>$A12="Accepted"</formula>
    </cfRule>
  </conditionalFormatting>
  <conditionalFormatting sqref="B12">
    <cfRule type="expression" dxfId="59" priority="33">
      <formula>$A12="Accepted"</formula>
    </cfRule>
  </conditionalFormatting>
  <conditionalFormatting sqref="B15">
    <cfRule type="expression" dxfId="58" priority="32">
      <formula>$A15="Accepted"</formula>
    </cfRule>
  </conditionalFormatting>
  <conditionalFormatting sqref="E21">
    <cfRule type="expression" dxfId="57" priority="23">
      <formula>$A21="Accepted"</formula>
    </cfRule>
  </conditionalFormatting>
  <conditionalFormatting sqref="G16">
    <cfRule type="expression" dxfId="56" priority="29">
      <formula>$A16="Accepted"</formula>
    </cfRule>
  </conditionalFormatting>
  <conditionalFormatting sqref="I16">
    <cfRule type="expression" dxfId="55" priority="28">
      <formula>$A16="Accepted"</formula>
    </cfRule>
  </conditionalFormatting>
  <conditionalFormatting sqref="F23 D23">
    <cfRule type="expression" dxfId="54" priority="20">
      <formula>$A23="Accepted"</formula>
    </cfRule>
  </conditionalFormatting>
  <conditionalFormatting sqref="B16:B17">
    <cfRule type="expression" dxfId="53" priority="25">
      <formula>$A16="Accepted"</formula>
    </cfRule>
  </conditionalFormatting>
  <conditionalFormatting sqref="E20">
    <cfRule type="expression" dxfId="52" priority="24">
      <formula>$A20="Accepted"</formula>
    </cfRule>
  </conditionalFormatting>
  <conditionalFormatting sqref="E22">
    <cfRule type="expression" dxfId="51" priority="21">
      <formula>$A22="Accepted"</formula>
    </cfRule>
  </conditionalFormatting>
  <conditionalFormatting sqref="E23">
    <cfRule type="expression" dxfId="50" priority="19">
      <formula>$A23="Accepted"</formula>
    </cfRule>
  </conditionalFormatting>
  <conditionalFormatting sqref="G23">
    <cfRule type="expression" dxfId="49" priority="18">
      <formula>$A23="Accepted"</formula>
    </cfRule>
  </conditionalFormatting>
  <conditionalFormatting sqref="B5">
    <cfRule type="expression" dxfId="48" priority="15">
      <formula>$A5="Accepted"</formula>
    </cfRule>
  </conditionalFormatting>
  <conditionalFormatting sqref="B29">
    <cfRule type="expression" dxfId="47" priority="14">
      <formula>$A29="Accepted"</formula>
    </cfRule>
  </conditionalFormatting>
  <conditionalFormatting sqref="B4">
    <cfRule type="expression" dxfId="46" priority="13">
      <formula>$A4="Accepted"</formula>
    </cfRule>
  </conditionalFormatting>
  <conditionalFormatting sqref="D25">
    <cfRule type="expression" dxfId="45" priority="12">
      <formula>$A25="Accepted"</formula>
    </cfRule>
  </conditionalFormatting>
  <conditionalFormatting sqref="E25">
    <cfRule type="expression" dxfId="44" priority="11">
      <formula>$A25="Accepted"</formula>
    </cfRule>
  </conditionalFormatting>
  <conditionalFormatting sqref="D27">
    <cfRule type="expression" dxfId="43" priority="10">
      <formula>$A27="Accepted"</formula>
    </cfRule>
  </conditionalFormatting>
  <conditionalFormatting sqref="E27">
    <cfRule type="expression" dxfId="42" priority="9">
      <formula>$A27="Accepted"</formula>
    </cfRule>
  </conditionalFormatting>
  <conditionalFormatting sqref="D3">
    <cfRule type="expression" dxfId="41" priority="54">
      <formula>$A8="Accepted"</formula>
    </cfRule>
  </conditionalFormatting>
  <conditionalFormatting sqref="F5 D5">
    <cfRule type="expression" dxfId="40" priority="8">
      <formula>$A5="Accepted"</formula>
    </cfRule>
  </conditionalFormatting>
  <conditionalFormatting sqref="B6">
    <cfRule type="expression" dxfId="39" priority="3">
      <formula>$A6="Accepted"</formula>
    </cfRule>
  </conditionalFormatting>
  <conditionalFormatting sqref="E5">
    <cfRule type="expression" dxfId="38" priority="5">
      <formula>$A5="Accepted"</formula>
    </cfRule>
  </conditionalFormatting>
  <conditionalFormatting sqref="G5">
    <cfRule type="expression" dxfId="37" priority="4">
      <formula>$A5="Accepted"</formula>
    </cfRule>
  </conditionalFormatting>
  <conditionalFormatting sqref="D8">
    <cfRule type="expression" dxfId="36" priority="2">
      <formula>$A13="Accepted"</formula>
    </cfRule>
  </conditionalFormatting>
  <conditionalFormatting sqref="G17">
    <cfRule type="expression" dxfId="35" priority="1">
      <formula>$A17="Accepted"</formula>
    </cfRule>
  </conditionalFormatting>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28A19-3635-4A9B-90F8-E0594E0CCED1}">
  <dimension ref="A1:M36"/>
  <sheetViews>
    <sheetView tabSelected="1" workbookViewId="0">
      <selection activeCell="C14" sqref="C14"/>
    </sheetView>
  </sheetViews>
  <sheetFormatPr defaultRowHeight="14.4" x14ac:dyDescent="0.55000000000000004"/>
  <cols>
    <col min="1" max="1" width="57.41796875" bestFit="1" customWidth="1"/>
    <col min="2" max="2" width="16.1015625" bestFit="1" customWidth="1"/>
    <col min="3" max="3" width="14.3125" style="22" bestFit="1" customWidth="1"/>
    <col min="4" max="4" width="31.62890625" bestFit="1" customWidth="1"/>
    <col min="5" max="5" width="8.89453125" customWidth="1"/>
    <col min="6" max="6" width="18.47265625" bestFit="1" customWidth="1"/>
    <col min="8" max="8" width="21.7890625" customWidth="1"/>
    <col min="11" max="11" width="30.20703125" style="22" bestFit="1" customWidth="1"/>
    <col min="12" max="12" width="14.3125" style="22" bestFit="1" customWidth="1"/>
    <col min="13" max="13" width="12.3671875" style="22" bestFit="1" customWidth="1"/>
  </cols>
  <sheetData>
    <row r="1" spans="1:13" ht="18.600000000000001" thickBot="1" x14ac:dyDescent="0.6">
      <c r="A1" s="2" t="s">
        <v>49</v>
      </c>
      <c r="B1" s="3"/>
    </row>
    <row r="3" spans="1:13" x14ac:dyDescent="0.55000000000000004">
      <c r="A3" s="35" t="s">
        <v>5</v>
      </c>
      <c r="B3" s="36"/>
      <c r="D3" s="41" t="s">
        <v>21</v>
      </c>
      <c r="K3" s="22" t="s">
        <v>37</v>
      </c>
      <c r="L3" s="43">
        <v>530250.51756537566</v>
      </c>
    </row>
    <row r="4" spans="1:13" x14ac:dyDescent="0.55000000000000004">
      <c r="A4" s="9" t="s">
        <v>6</v>
      </c>
      <c r="B4" s="40">
        <f>B29</f>
        <v>9276477.2513713073</v>
      </c>
      <c r="C4" s="42">
        <f>SUM(C5:C6)</f>
        <v>9276477.2513713073</v>
      </c>
      <c r="D4" s="33"/>
      <c r="E4" s="31"/>
      <c r="F4" s="31"/>
      <c r="G4" s="32"/>
      <c r="K4" s="22" t="s">
        <v>38</v>
      </c>
      <c r="L4" s="43">
        <v>528206.13841263624</v>
      </c>
      <c r="M4" s="42">
        <f>L4-L$3</f>
        <v>-2044.3791527394205</v>
      </c>
    </row>
    <row r="5" spans="1:13" x14ac:dyDescent="0.55000000000000004">
      <c r="A5" s="17" t="s">
        <v>43</v>
      </c>
      <c r="B5" s="15">
        <f>B4/((G16-E5)+E5*(1-G5))</f>
        <v>371059.09005485231</v>
      </c>
      <c r="C5" s="42">
        <f>(G16-E5)*B5</f>
        <v>9276477.2513713073</v>
      </c>
      <c r="D5" s="29" t="s">
        <v>41</v>
      </c>
      <c r="E5" s="45">
        <v>0</v>
      </c>
      <c r="F5" s="30" t="s">
        <v>42</v>
      </c>
      <c r="G5" s="46">
        <v>0</v>
      </c>
      <c r="K5" s="22" t="s">
        <v>39</v>
      </c>
      <c r="L5" s="43">
        <v>512571.17888125766</v>
      </c>
      <c r="M5" s="42">
        <f t="shared" ref="M5:M12" si="0">L5-L$3</f>
        <v>-17679.338684118004</v>
      </c>
    </row>
    <row r="6" spans="1:13" x14ac:dyDescent="0.55000000000000004">
      <c r="A6" s="39" t="s">
        <v>44</v>
      </c>
      <c r="B6" s="15">
        <f>G5*B5</f>
        <v>0</v>
      </c>
      <c r="C6" s="42">
        <f>B6*E5</f>
        <v>0</v>
      </c>
      <c r="D6" s="33"/>
      <c r="E6" s="31"/>
      <c r="F6" s="31"/>
      <c r="G6" s="32"/>
      <c r="K6" s="22" t="s">
        <v>45</v>
      </c>
      <c r="L6" s="43">
        <v>512339.84478281025</v>
      </c>
      <c r="M6" s="42">
        <f t="shared" si="0"/>
        <v>-17910.672782565409</v>
      </c>
    </row>
    <row r="7" spans="1:13" x14ac:dyDescent="0.55000000000000004">
      <c r="B7" s="12"/>
      <c r="D7" s="38"/>
      <c r="E7" s="38"/>
      <c r="K7" s="22" t="s">
        <v>40</v>
      </c>
      <c r="L7" s="43">
        <v>516994.25462624122</v>
      </c>
      <c r="M7" s="42">
        <f t="shared" si="0"/>
        <v>-13256.262939134438</v>
      </c>
    </row>
    <row r="8" spans="1:13" x14ac:dyDescent="0.55000000000000004">
      <c r="A8" s="35" t="s">
        <v>7</v>
      </c>
      <c r="B8" s="37"/>
      <c r="D8" s="41" t="s">
        <v>21</v>
      </c>
      <c r="K8" s="22" t="s">
        <v>46</v>
      </c>
      <c r="L8" s="43">
        <v>506383.41034181637</v>
      </c>
      <c r="M8" s="42">
        <f t="shared" si="0"/>
        <v>-23867.107223559287</v>
      </c>
    </row>
    <row r="9" spans="1:13" x14ac:dyDescent="0.55000000000000004">
      <c r="A9" s="10"/>
      <c r="B9" s="13"/>
      <c r="D9" s="33"/>
      <c r="E9" s="31"/>
      <c r="F9" s="31"/>
      <c r="G9" s="31"/>
      <c r="H9" s="31"/>
      <c r="I9" s="32"/>
      <c r="K9" s="22" t="s">
        <v>47</v>
      </c>
      <c r="L9" s="43">
        <v>495775.80713134567</v>
      </c>
      <c r="M9" s="42">
        <f t="shared" si="0"/>
        <v>-34474.710434029985</v>
      </c>
    </row>
    <row r="10" spans="1:13" x14ac:dyDescent="0.55000000000000004">
      <c r="A10" s="10" t="s">
        <v>8</v>
      </c>
      <c r="B10" s="14"/>
      <c r="C10" s="25" cm="1">
        <f t="array" ref="C10">SUM(B11:B12/B$29)</f>
        <v>6.1060582965764498E-2</v>
      </c>
      <c r="D10" s="33"/>
      <c r="E10" s="31"/>
      <c r="F10" s="31"/>
      <c r="G10" s="31"/>
      <c r="H10" s="31"/>
      <c r="I10" s="32"/>
      <c r="M10" s="42"/>
    </row>
    <row r="11" spans="1:13" x14ac:dyDescent="0.55000000000000004">
      <c r="A11" s="11" t="s">
        <v>9</v>
      </c>
      <c r="B11" s="44">
        <v>500000</v>
      </c>
      <c r="C11" s="26"/>
      <c r="D11" s="33"/>
      <c r="E11" s="31"/>
      <c r="F11" s="31"/>
      <c r="G11" s="31"/>
      <c r="H11" s="31"/>
      <c r="I11" s="32"/>
      <c r="M11" s="42"/>
    </row>
    <row r="12" spans="1:13" x14ac:dyDescent="0.55000000000000004">
      <c r="A12" s="11" t="s">
        <v>10</v>
      </c>
      <c r="B12" s="15">
        <f>FV(E12/12,G12*12,0,-B11)-B11</f>
        <v>66427.108837384731</v>
      </c>
      <c r="C12" s="26"/>
      <c r="D12" s="29" t="s">
        <v>22</v>
      </c>
      <c r="E12" s="46">
        <v>0.05</v>
      </c>
      <c r="F12" s="30" t="s">
        <v>23</v>
      </c>
      <c r="G12" s="45">
        <v>2.5</v>
      </c>
      <c r="H12" s="31"/>
      <c r="I12" s="32"/>
      <c r="K12" s="22" t="s">
        <v>48</v>
      </c>
      <c r="L12" s="43">
        <v>451083.51502222865</v>
      </c>
      <c r="M12" s="42">
        <f t="shared" ref="M12:M19" si="1">L12-L$3</f>
        <v>-79167.002543147013</v>
      </c>
    </row>
    <row r="13" spans="1:13" x14ac:dyDescent="0.55000000000000004">
      <c r="A13" s="7"/>
      <c r="B13" s="14"/>
      <c r="C13" s="27"/>
      <c r="D13" s="33"/>
      <c r="E13" s="31"/>
      <c r="F13" s="31"/>
      <c r="G13" s="31"/>
      <c r="H13" s="31"/>
      <c r="I13" s="32"/>
    </row>
    <row r="14" spans="1:13" x14ac:dyDescent="0.55000000000000004">
      <c r="A14" s="10" t="s">
        <v>11</v>
      </c>
      <c r="B14" s="14"/>
      <c r="C14" s="25" cm="1">
        <f t="array" ref="C14">SUM(B15:B17/B$29)</f>
        <v>0.58319552276164532</v>
      </c>
      <c r="D14" s="33"/>
      <c r="E14" s="31"/>
      <c r="F14" s="31"/>
      <c r="G14" s="31"/>
      <c r="H14" s="31"/>
      <c r="I14" s="32"/>
    </row>
    <row r="15" spans="1:13" x14ac:dyDescent="0.55000000000000004">
      <c r="A15" s="11" t="s">
        <v>12</v>
      </c>
      <c r="B15" s="44">
        <v>1000000</v>
      </c>
      <c r="C15" s="26"/>
      <c r="D15" s="33"/>
      <c r="E15" s="31"/>
      <c r="F15" s="31"/>
      <c r="G15" s="31"/>
      <c r="H15" s="31"/>
      <c r="I15" s="32"/>
    </row>
    <row r="16" spans="1:13" x14ac:dyDescent="0.55000000000000004">
      <c r="A16" s="11" t="s">
        <v>13</v>
      </c>
      <c r="B16" s="15">
        <f>E16*G16*I16</f>
        <v>3750000</v>
      </c>
      <c r="C16" s="26"/>
      <c r="D16" s="29" t="s">
        <v>25</v>
      </c>
      <c r="E16" s="47">
        <v>150</v>
      </c>
      <c r="F16" s="29" t="s">
        <v>24</v>
      </c>
      <c r="G16" s="45">
        <v>25</v>
      </c>
      <c r="H16" s="30" t="s">
        <v>26</v>
      </c>
      <c r="I16" s="45">
        <v>1000</v>
      </c>
    </row>
    <row r="17" spans="1:13" x14ac:dyDescent="0.55000000000000004">
      <c r="A17" s="11" t="s">
        <v>14</v>
      </c>
      <c r="B17" s="15">
        <f>E17*G17</f>
        <v>660000</v>
      </c>
      <c r="C17" s="26"/>
      <c r="D17" s="29" t="s">
        <v>25</v>
      </c>
      <c r="E17" s="47">
        <v>165</v>
      </c>
      <c r="F17" s="30" t="s">
        <v>27</v>
      </c>
      <c r="G17" s="45">
        <v>4000</v>
      </c>
      <c r="H17" s="31"/>
      <c r="I17" s="32"/>
    </row>
    <row r="18" spans="1:13" x14ac:dyDescent="0.55000000000000004">
      <c r="A18" s="7"/>
      <c r="B18" s="14"/>
      <c r="C18" s="27"/>
      <c r="D18" s="33"/>
      <c r="E18" s="31"/>
      <c r="F18" s="31"/>
      <c r="G18" s="31"/>
      <c r="H18" s="31"/>
      <c r="I18" s="32"/>
    </row>
    <row r="19" spans="1:13" x14ac:dyDescent="0.55000000000000004">
      <c r="A19" s="10" t="s">
        <v>15</v>
      </c>
      <c r="B19" s="14"/>
      <c r="C19" s="25" cm="1">
        <f t="array" ref="C19">SUM(B20:B23/B$29)</f>
        <v>0.22953030203958041</v>
      </c>
      <c r="D19" s="33"/>
      <c r="E19" s="31"/>
      <c r="F19" s="31"/>
      <c r="G19" s="31"/>
      <c r="H19" s="31"/>
      <c r="I19" s="32"/>
    </row>
    <row r="20" spans="1:13" x14ac:dyDescent="0.55000000000000004">
      <c r="A20" s="11" t="s">
        <v>16</v>
      </c>
      <c r="B20" s="16">
        <f>E20*SUM(B15:B17)</f>
        <v>811500</v>
      </c>
      <c r="C20" s="26"/>
      <c r="D20" s="34" t="s">
        <v>28</v>
      </c>
      <c r="E20" s="46">
        <v>0.15</v>
      </c>
      <c r="F20" s="31"/>
      <c r="G20" s="31"/>
      <c r="H20" s="31"/>
      <c r="I20" s="32"/>
    </row>
    <row r="21" spans="1:13" x14ac:dyDescent="0.55000000000000004">
      <c r="A21" s="11" t="s">
        <v>17</v>
      </c>
      <c r="B21" s="16">
        <f>E21*G16</f>
        <v>375000</v>
      </c>
      <c r="C21" s="26"/>
      <c r="D21" s="29" t="s">
        <v>29</v>
      </c>
      <c r="E21" s="47">
        <v>15000</v>
      </c>
      <c r="F21" s="31"/>
      <c r="G21" s="31"/>
      <c r="H21" s="31"/>
      <c r="I21" s="32"/>
    </row>
    <row r="22" spans="1:13" x14ac:dyDescent="0.55000000000000004">
      <c r="A22" s="11" t="s">
        <v>18</v>
      </c>
      <c r="B22" s="16">
        <f>E22*G16</f>
        <v>375000</v>
      </c>
      <c r="C22" s="26"/>
      <c r="D22" s="29" t="s">
        <v>29</v>
      </c>
      <c r="E22" s="47">
        <v>15000</v>
      </c>
      <c r="F22" s="31"/>
      <c r="G22" s="31"/>
      <c r="H22" s="31"/>
      <c r="I22" s="32"/>
    </row>
    <row r="23" spans="1:13" x14ac:dyDescent="0.55000000000000004">
      <c r="A23" s="11" t="s">
        <v>19</v>
      </c>
      <c r="B23" s="15">
        <f>FV(E23/12,G23*12,0,-SUM(B15:B17))-SUM(B15:B17)</f>
        <v>567732.62537055276</v>
      </c>
      <c r="C23" s="26"/>
      <c r="D23" s="29" t="s">
        <v>22</v>
      </c>
      <c r="E23" s="46">
        <v>0.05</v>
      </c>
      <c r="F23" s="30" t="s">
        <v>23</v>
      </c>
      <c r="G23" s="45">
        <v>2</v>
      </c>
      <c r="H23" s="31"/>
      <c r="I23" s="32"/>
    </row>
    <row r="24" spans="1:13" x14ac:dyDescent="0.55000000000000004">
      <c r="A24" s="7"/>
      <c r="B24" s="14"/>
      <c r="C24" s="27"/>
      <c r="D24" s="33"/>
      <c r="E24" s="31"/>
      <c r="F24" s="31"/>
      <c r="G24" s="31"/>
      <c r="H24" s="31"/>
      <c r="I24" s="32"/>
    </row>
    <row r="25" spans="1:13" x14ac:dyDescent="0.55000000000000004">
      <c r="A25" s="10" t="s">
        <v>31</v>
      </c>
      <c r="B25" s="19">
        <f>SUM(B11:B23)*E25</f>
        <v>243169.79202623811</v>
      </c>
      <c r="C25" s="25">
        <f>B25/B$29</f>
        <v>2.6213592233009703E-2</v>
      </c>
      <c r="D25" s="34" t="s">
        <v>32</v>
      </c>
      <c r="E25" s="46">
        <v>0.03</v>
      </c>
      <c r="F25" s="31"/>
      <c r="G25" s="31"/>
      <c r="H25" s="31"/>
      <c r="I25" s="32"/>
    </row>
    <row r="26" spans="1:13" x14ac:dyDescent="0.55000000000000004">
      <c r="A26" s="7"/>
      <c r="B26" s="14"/>
      <c r="C26" s="27"/>
      <c r="D26" s="33"/>
      <c r="E26" s="31"/>
      <c r="F26" s="31"/>
      <c r="G26" s="31"/>
      <c r="H26" s="31"/>
      <c r="I26" s="32"/>
    </row>
    <row r="27" spans="1:13" x14ac:dyDescent="0.55000000000000004">
      <c r="A27" s="9" t="s">
        <v>20</v>
      </c>
      <c r="B27" s="15">
        <f>SUM(B11:B25)*(E27/(1-E27))</f>
        <v>927647.72513713071</v>
      </c>
      <c r="C27" s="25">
        <f>B27/B$29</f>
        <v>9.9999999999999992E-2</v>
      </c>
      <c r="D27" s="34" t="s">
        <v>33</v>
      </c>
      <c r="E27" s="46">
        <v>0.1</v>
      </c>
      <c r="F27" s="31"/>
      <c r="G27" s="31"/>
      <c r="H27" s="31"/>
      <c r="I27" s="32"/>
    </row>
    <row r="28" spans="1:13" x14ac:dyDescent="0.55000000000000004">
      <c r="A28" s="7"/>
      <c r="B28" s="14"/>
    </row>
    <row r="29" spans="1:13" s="8" customFormat="1" x14ac:dyDescent="0.55000000000000004">
      <c r="A29" s="18" t="s">
        <v>30</v>
      </c>
      <c r="B29" s="20">
        <f>SUM(B11:B27)</f>
        <v>9276477.2513713073</v>
      </c>
      <c r="C29" s="28"/>
      <c r="K29" s="28"/>
      <c r="L29" s="28"/>
      <c r="M29" s="28"/>
    </row>
    <row r="31" spans="1:13" x14ac:dyDescent="0.55000000000000004">
      <c r="A31" s="21" t="s">
        <v>34</v>
      </c>
      <c r="B31" s="22"/>
      <c r="C31" s="23"/>
    </row>
    <row r="32" spans="1:13" x14ac:dyDescent="0.55000000000000004">
      <c r="A32" s="23" t="str">
        <f>A10</f>
        <v>Land Costs</v>
      </c>
      <c r="B32" s="23">
        <f>SUM(B11:B12)</f>
        <v>566427.10883738473</v>
      </c>
    </row>
    <row r="33" spans="1:2" x14ac:dyDescent="0.55000000000000004">
      <c r="A33" s="23" t="str">
        <f>A14</f>
        <v>Construction Costs</v>
      </c>
      <c r="B33" s="23">
        <f>SUM(B15:B17)</f>
        <v>5410000</v>
      </c>
    </row>
    <row r="34" spans="1:2" x14ac:dyDescent="0.55000000000000004">
      <c r="A34" s="23" t="str">
        <f>A19</f>
        <v>Soft Costs</v>
      </c>
      <c r="B34" s="24">
        <f>SUM(B20:B23)</f>
        <v>2129232.6253705528</v>
      </c>
    </row>
    <row r="35" spans="1:2" x14ac:dyDescent="0.55000000000000004">
      <c r="A35" s="23" t="str">
        <f>A25</f>
        <v>Contingency</v>
      </c>
      <c r="B35" s="23">
        <f>B25</f>
        <v>243169.79202623811</v>
      </c>
    </row>
    <row r="36" spans="1:2" x14ac:dyDescent="0.55000000000000004">
      <c r="A36" s="23" t="str">
        <f>A27</f>
        <v>Profit &amp; Distributable Cash</v>
      </c>
      <c r="B36" s="23">
        <f>B27</f>
        <v>927647.72513713071</v>
      </c>
    </row>
  </sheetData>
  <sheetProtection sheet="1" objects="1" scenarios="1"/>
  <conditionalFormatting sqref="A3:B3 A28:B28 A29 A4:A6">
    <cfRule type="expression" dxfId="34" priority="34">
      <formula>$A3="Accepted"</formula>
    </cfRule>
  </conditionalFormatting>
  <conditionalFormatting sqref="A10:B10 A8:A9 A13:B14 A11:A12 A15:A17 A24:B26 A23 A18:B22 A27">
    <cfRule type="expression" dxfId="33" priority="33">
      <formula>$A8="Accepted"</formula>
    </cfRule>
  </conditionalFormatting>
  <conditionalFormatting sqref="B8:B9">
    <cfRule type="expression" dxfId="32" priority="32">
      <formula>$A8="Accepted"</formula>
    </cfRule>
  </conditionalFormatting>
  <conditionalFormatting sqref="B11">
    <cfRule type="expression" dxfId="31" priority="31">
      <formula>$A11="Accepted"</formula>
    </cfRule>
  </conditionalFormatting>
  <conditionalFormatting sqref="F12 H16 F16:F17 D12 D16:D17 D20:D22">
    <cfRule type="expression" dxfId="30" priority="30">
      <formula>$A12="Accepted"</formula>
    </cfRule>
  </conditionalFormatting>
  <conditionalFormatting sqref="E16:E17">
    <cfRule type="expression" dxfId="29" priority="20">
      <formula>$A16="Accepted"</formula>
    </cfRule>
  </conditionalFormatting>
  <conditionalFormatting sqref="B23">
    <cfRule type="expression" dxfId="28" priority="15">
      <formula>$A23="Accepted"</formula>
    </cfRule>
  </conditionalFormatting>
  <conditionalFormatting sqref="B27">
    <cfRule type="expression" dxfId="27" priority="14">
      <formula>$A27="Accepted"</formula>
    </cfRule>
  </conditionalFormatting>
  <conditionalFormatting sqref="E12">
    <cfRule type="expression" dxfId="26" priority="29">
      <formula>$A12="Accepted"</formula>
    </cfRule>
  </conditionalFormatting>
  <conditionalFormatting sqref="G12">
    <cfRule type="expression" dxfId="25" priority="28">
      <formula>$A12="Accepted"</formula>
    </cfRule>
  </conditionalFormatting>
  <conditionalFormatting sqref="B12">
    <cfRule type="expression" dxfId="24" priority="27">
      <formula>$A12="Accepted"</formula>
    </cfRule>
  </conditionalFormatting>
  <conditionalFormatting sqref="B15">
    <cfRule type="expression" dxfId="23" priority="26">
      <formula>$A15="Accepted"</formula>
    </cfRule>
  </conditionalFormatting>
  <conditionalFormatting sqref="E21">
    <cfRule type="expression" dxfId="22" priority="21">
      <formula>$A21="Accepted"</formula>
    </cfRule>
  </conditionalFormatting>
  <conditionalFormatting sqref="G16">
    <cfRule type="expression" dxfId="21" priority="25">
      <formula>$A16="Accepted"</formula>
    </cfRule>
  </conditionalFormatting>
  <conditionalFormatting sqref="I16">
    <cfRule type="expression" dxfId="20" priority="24">
      <formula>$A16="Accepted"</formula>
    </cfRule>
  </conditionalFormatting>
  <conditionalFormatting sqref="F23 D23">
    <cfRule type="expression" dxfId="19" priority="18">
      <formula>$A23="Accepted"</formula>
    </cfRule>
  </conditionalFormatting>
  <conditionalFormatting sqref="B16:B17">
    <cfRule type="expression" dxfId="18" priority="23">
      <formula>$A16="Accepted"</formula>
    </cfRule>
  </conditionalFormatting>
  <conditionalFormatting sqref="E20">
    <cfRule type="expression" dxfId="17" priority="22">
      <formula>$A20="Accepted"</formula>
    </cfRule>
  </conditionalFormatting>
  <conditionalFormatting sqref="E22">
    <cfRule type="expression" dxfId="16" priority="19">
      <formula>$A22="Accepted"</formula>
    </cfRule>
  </conditionalFormatting>
  <conditionalFormatting sqref="E23">
    <cfRule type="expression" dxfId="15" priority="17">
      <formula>$A23="Accepted"</formula>
    </cfRule>
  </conditionalFormatting>
  <conditionalFormatting sqref="G23">
    <cfRule type="expression" dxfId="14" priority="16">
      <formula>$A23="Accepted"</formula>
    </cfRule>
  </conditionalFormatting>
  <conditionalFormatting sqref="B5">
    <cfRule type="expression" dxfId="13" priority="13">
      <formula>$A5="Accepted"</formula>
    </cfRule>
  </conditionalFormatting>
  <conditionalFormatting sqref="B29">
    <cfRule type="expression" dxfId="12" priority="12">
      <formula>$A29="Accepted"</formula>
    </cfRule>
  </conditionalFormatting>
  <conditionalFormatting sqref="B4">
    <cfRule type="expression" dxfId="11" priority="11">
      <formula>$A4="Accepted"</formula>
    </cfRule>
  </conditionalFormatting>
  <conditionalFormatting sqref="D25">
    <cfRule type="expression" dxfId="10" priority="10">
      <formula>$A25="Accepted"</formula>
    </cfRule>
  </conditionalFormatting>
  <conditionalFormatting sqref="E25">
    <cfRule type="expression" dxfId="9" priority="9">
      <formula>$A25="Accepted"</formula>
    </cfRule>
  </conditionalFormatting>
  <conditionalFormatting sqref="D27">
    <cfRule type="expression" dxfId="8" priority="8">
      <formula>$A27="Accepted"</formula>
    </cfRule>
  </conditionalFormatting>
  <conditionalFormatting sqref="E27">
    <cfRule type="expression" dxfId="7" priority="7">
      <formula>$A27="Accepted"</formula>
    </cfRule>
  </conditionalFormatting>
  <conditionalFormatting sqref="D3">
    <cfRule type="expression" dxfId="6" priority="35">
      <formula>$A8="Accepted"</formula>
    </cfRule>
  </conditionalFormatting>
  <conditionalFormatting sqref="F5 D5">
    <cfRule type="expression" dxfId="5" priority="6">
      <formula>$A5="Accepted"</formula>
    </cfRule>
  </conditionalFormatting>
  <conditionalFormatting sqref="B6">
    <cfRule type="expression" dxfId="4" priority="3">
      <formula>$A6="Accepted"</formula>
    </cfRule>
  </conditionalFormatting>
  <conditionalFormatting sqref="E5">
    <cfRule type="expression" dxfId="3" priority="5">
      <formula>$A5="Accepted"</formula>
    </cfRule>
  </conditionalFormatting>
  <conditionalFormatting sqref="G5">
    <cfRule type="expression" dxfId="2" priority="4">
      <formula>$A5="Accepted"</formula>
    </cfRule>
  </conditionalFormatting>
  <conditionalFormatting sqref="D8">
    <cfRule type="expression" dxfId="1" priority="2">
      <formula>$A13="Accepted"</formula>
    </cfRule>
  </conditionalFormatting>
  <conditionalFormatting sqref="G17">
    <cfRule type="expression" dxfId="0" priority="1">
      <formula>$A17="Accepted"</formula>
    </cfRule>
  </conditionalFormatting>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vt:lpstr>
      <vt:lpstr>Pro Forma 1</vt:lpstr>
      <vt:lpstr>Pro Forma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erikb</dc:creator>
  <cp:lastModifiedBy>erikb</cp:lastModifiedBy>
  <dcterms:created xsi:type="dcterms:W3CDTF">2021-09-09T17:51:52Z</dcterms:created>
  <dcterms:modified xsi:type="dcterms:W3CDTF">2021-12-01T18:35:16Z</dcterms:modified>
</cp:coreProperties>
</file>